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55" yWindow="165" windowWidth="8085" windowHeight="12015" activeTab="0"/>
  </bookViews>
  <sheets>
    <sheet name="Live Calc" sheetId="1" r:id="rId1"/>
  </sheets>
  <definedNames/>
  <calcPr fullCalcOnLoad="1"/>
</workbook>
</file>

<file path=xl/sharedStrings.xml><?xml version="1.0" encoding="utf-8"?>
<sst xmlns="http://schemas.openxmlformats.org/spreadsheetml/2006/main" count="108" uniqueCount="78">
  <si>
    <t>User Inputs in Orange</t>
  </si>
  <si>
    <t>Step</t>
  </si>
  <si>
    <t>Parameter</t>
  </si>
  <si>
    <t>Departure</t>
  </si>
  <si>
    <t>Target</t>
  </si>
  <si>
    <t>Earth</t>
  </si>
  <si>
    <t>Mars</t>
  </si>
  <si>
    <t xml:space="preserve">Planet </t>
  </si>
  <si>
    <t>Other</t>
  </si>
  <si>
    <t>Mercury</t>
  </si>
  <si>
    <t>Venus</t>
  </si>
  <si>
    <t>Jupiter</t>
  </si>
  <si>
    <t>Saturn</t>
  </si>
  <si>
    <t>Uranus</t>
  </si>
  <si>
    <t>Neptune</t>
  </si>
  <si>
    <t>Altitude of Parking Orbit (km)</t>
  </si>
  <si>
    <r>
      <t>μ</t>
    </r>
    <r>
      <rPr>
        <b/>
        <sz val="9"/>
        <rFont val="Geneva"/>
        <family val="0"/>
      </rPr>
      <t xml:space="preserve"> (km</t>
    </r>
    <r>
      <rPr>
        <b/>
        <vertAlign val="superscript"/>
        <sz val="9"/>
        <rFont val="Geneva"/>
        <family val="0"/>
      </rPr>
      <t>3</t>
    </r>
    <r>
      <rPr>
        <b/>
        <sz val="9"/>
        <rFont val="Geneva"/>
        <family val="0"/>
      </rPr>
      <t>/s</t>
    </r>
    <r>
      <rPr>
        <b/>
        <vertAlign val="superscript"/>
        <sz val="9"/>
        <rFont val="Geneva"/>
        <family val="0"/>
      </rPr>
      <t>2</t>
    </r>
    <r>
      <rPr>
        <b/>
        <sz val="9"/>
        <rFont val="Geneva"/>
        <family val="0"/>
      </rPr>
      <t>)</t>
    </r>
  </si>
  <si>
    <t>Constants and Conversion Factors</t>
  </si>
  <si>
    <r>
      <t>μ</t>
    </r>
    <r>
      <rPr>
        <b/>
        <vertAlign val="subscript"/>
        <sz val="10"/>
        <rFont val="Geneva"/>
        <family val="0"/>
      </rPr>
      <t>SUN</t>
    </r>
  </si>
  <si>
    <r>
      <t>km</t>
    </r>
    <r>
      <rPr>
        <vertAlign val="superscript"/>
        <sz val="10"/>
        <rFont val="Geneva"/>
        <family val="0"/>
      </rPr>
      <t>3</t>
    </r>
    <r>
      <rPr>
        <sz val="10"/>
        <rFont val="Geneva"/>
        <family val="0"/>
      </rPr>
      <t>/s</t>
    </r>
    <r>
      <rPr>
        <vertAlign val="superscript"/>
        <sz val="10"/>
        <rFont val="Geneva"/>
        <family val="0"/>
      </rPr>
      <t>2</t>
    </r>
  </si>
  <si>
    <t>Value</t>
  </si>
  <si>
    <t>Mean Distance (km)</t>
  </si>
  <si>
    <t>Equatorial Radius (km)</t>
  </si>
  <si>
    <t>Unit</t>
  </si>
  <si>
    <t>km/s</t>
  </si>
  <si>
    <t>yr</t>
  </si>
  <si>
    <r>
      <t>Radius of Parking Orbit, r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(km)</t>
    </r>
  </si>
  <si>
    <t>1 yr</t>
  </si>
  <si>
    <t>sec</t>
  </si>
  <si>
    <t>H</t>
  </si>
  <si>
    <t>km</t>
  </si>
  <si>
    <t>deg</t>
  </si>
  <si>
    <t>rad</t>
  </si>
  <si>
    <t>(km/s)</t>
  </si>
  <si>
    <t>α</t>
  </si>
  <si>
    <t>(deg)</t>
  </si>
  <si>
    <t>1 rad</t>
  </si>
  <si>
    <r>
      <t>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/s</t>
    </r>
  </si>
  <si>
    <t>Implemented by Anthony Shao, Microcosm. Contact: bookproject@smad.com</t>
  </si>
  <si>
    <r>
      <t>V</t>
    </r>
    <r>
      <rPr>
        <b/>
        <i/>
        <vertAlign val="subscript"/>
        <sz val="10"/>
        <rFont val="Arial"/>
        <family val="2"/>
      </rPr>
      <t>dep</t>
    </r>
  </si>
  <si>
    <r>
      <t>V</t>
    </r>
    <r>
      <rPr>
        <b/>
        <i/>
        <vertAlign val="subscript"/>
        <sz val="10"/>
        <rFont val="Arial"/>
        <family val="2"/>
      </rPr>
      <t>tar</t>
    </r>
  </si>
  <si>
    <r>
      <t>V</t>
    </r>
    <r>
      <rPr>
        <b/>
        <i/>
        <vertAlign val="subscript"/>
        <sz val="10"/>
        <rFont val="Arial"/>
        <family val="2"/>
      </rPr>
      <t>c0</t>
    </r>
  </si>
  <si>
    <r>
      <t>V</t>
    </r>
    <r>
      <rPr>
        <b/>
        <i/>
        <vertAlign val="subscript"/>
        <sz val="10"/>
        <rFont val="Arial"/>
        <family val="2"/>
      </rPr>
      <t>c3</t>
    </r>
  </si>
  <si>
    <r>
      <t>V</t>
    </r>
    <r>
      <rPr>
        <b/>
        <i/>
        <vertAlign val="subscript"/>
        <sz val="10"/>
        <rFont val="Arial"/>
        <family val="2"/>
      </rPr>
      <t>1,rad</t>
    </r>
  </si>
  <si>
    <r>
      <t>V</t>
    </r>
    <r>
      <rPr>
        <b/>
        <i/>
        <vertAlign val="subscript"/>
        <sz val="10"/>
        <rFont val="Arial"/>
        <family val="2"/>
      </rPr>
      <t>1,tan</t>
    </r>
  </si>
  <si>
    <r>
      <t>V</t>
    </r>
    <r>
      <rPr>
        <b/>
        <i/>
        <vertAlign val="subscript"/>
        <sz val="10"/>
        <rFont val="Arial"/>
        <family val="2"/>
      </rPr>
      <t>1</t>
    </r>
  </si>
  <si>
    <r>
      <t>Φ</t>
    </r>
    <r>
      <rPr>
        <b/>
        <i/>
        <vertAlign val="subscript"/>
        <sz val="10"/>
        <rFont val="Arial"/>
        <family val="2"/>
      </rPr>
      <t>1</t>
    </r>
  </si>
  <si>
    <r>
      <t>a</t>
    </r>
    <r>
      <rPr>
        <b/>
        <i/>
        <vertAlign val="subscript"/>
        <sz val="10"/>
        <rFont val="Arial"/>
        <family val="2"/>
      </rPr>
      <t>tr</t>
    </r>
  </si>
  <si>
    <r>
      <t>e</t>
    </r>
    <r>
      <rPr>
        <b/>
        <i/>
        <vertAlign val="subscript"/>
        <sz val="10"/>
        <rFont val="Arial"/>
        <family val="2"/>
      </rPr>
      <t>tr</t>
    </r>
  </si>
  <si>
    <r>
      <t>r</t>
    </r>
    <r>
      <rPr>
        <b/>
        <i/>
        <vertAlign val="subscript"/>
        <sz val="10"/>
        <rFont val="Arial"/>
        <family val="2"/>
      </rPr>
      <t>p</t>
    </r>
  </si>
  <si>
    <r>
      <t>r</t>
    </r>
    <r>
      <rPr>
        <b/>
        <i/>
        <vertAlign val="subscript"/>
        <sz val="10"/>
        <rFont val="Arial"/>
        <family val="2"/>
      </rPr>
      <t>a</t>
    </r>
  </si>
  <si>
    <r>
      <t>V</t>
    </r>
    <r>
      <rPr>
        <b/>
        <i/>
        <vertAlign val="subscript"/>
        <sz val="10"/>
        <rFont val="Arial"/>
        <family val="2"/>
      </rPr>
      <t>2</t>
    </r>
  </si>
  <si>
    <r>
      <t>V</t>
    </r>
    <r>
      <rPr>
        <b/>
        <i/>
        <vertAlign val="subscript"/>
        <sz val="10"/>
        <rFont val="Arial"/>
        <family val="2"/>
      </rPr>
      <t>2,tan</t>
    </r>
  </si>
  <si>
    <r>
      <t>V</t>
    </r>
    <r>
      <rPr>
        <b/>
        <i/>
        <vertAlign val="subscript"/>
        <sz val="10"/>
        <rFont val="Arial"/>
        <family val="2"/>
      </rPr>
      <t>2,rad</t>
    </r>
  </si>
  <si>
    <r>
      <t>V</t>
    </r>
    <r>
      <rPr>
        <b/>
        <i/>
        <vertAlign val="subscript"/>
        <sz val="10"/>
        <rFont val="Arial"/>
        <family val="2"/>
      </rPr>
      <t>inf,2</t>
    </r>
  </si>
  <si>
    <r>
      <t>Φ</t>
    </r>
    <r>
      <rPr>
        <b/>
        <i/>
        <vertAlign val="subscript"/>
        <sz val="10"/>
        <rFont val="Arial"/>
        <family val="2"/>
      </rPr>
      <t>2</t>
    </r>
  </si>
  <si>
    <r>
      <t>V</t>
    </r>
    <r>
      <rPr>
        <b/>
        <i/>
        <vertAlign val="subscript"/>
        <sz val="10"/>
        <rFont val="Arial"/>
        <family val="2"/>
      </rPr>
      <t>0</t>
    </r>
  </si>
  <si>
    <r>
      <t>V</t>
    </r>
    <r>
      <rPr>
        <b/>
        <i/>
        <vertAlign val="subscript"/>
        <sz val="10"/>
        <rFont val="Arial"/>
        <family val="2"/>
      </rPr>
      <t>3</t>
    </r>
  </si>
  <si>
    <r>
      <t>Δ</t>
    </r>
    <r>
      <rPr>
        <b/>
        <i/>
        <sz val="10"/>
        <rFont val="Arial"/>
        <family val="2"/>
      </rPr>
      <t>V</t>
    </r>
    <r>
      <rPr>
        <b/>
        <i/>
        <vertAlign val="subscript"/>
        <sz val="10"/>
        <rFont val="Arial"/>
        <family val="2"/>
      </rPr>
      <t>0</t>
    </r>
  </si>
  <si>
    <r>
      <t>ΔV</t>
    </r>
    <r>
      <rPr>
        <b/>
        <i/>
        <vertAlign val="subscript"/>
        <sz val="10"/>
        <rFont val="Arial"/>
        <family val="2"/>
      </rPr>
      <t>3</t>
    </r>
  </si>
  <si>
    <r>
      <t>ΔV</t>
    </r>
    <r>
      <rPr>
        <b/>
        <i/>
        <vertAlign val="subscript"/>
        <sz val="10"/>
        <rFont val="Arial"/>
        <family val="2"/>
      </rPr>
      <t>tot</t>
    </r>
  </si>
  <si>
    <r>
      <t>ν</t>
    </r>
    <r>
      <rPr>
        <b/>
        <i/>
        <vertAlign val="subscript"/>
        <sz val="10"/>
        <rFont val="Arial"/>
        <family val="2"/>
      </rPr>
      <t>1</t>
    </r>
  </si>
  <si>
    <r>
      <t>ν</t>
    </r>
    <r>
      <rPr>
        <b/>
        <i/>
        <vertAlign val="subscript"/>
        <sz val="10"/>
        <rFont val="Arial"/>
        <family val="2"/>
      </rPr>
      <t>2</t>
    </r>
  </si>
  <si>
    <r>
      <t>E</t>
    </r>
    <r>
      <rPr>
        <b/>
        <i/>
        <vertAlign val="subscript"/>
        <sz val="10"/>
        <rFont val="Arial"/>
        <family val="2"/>
      </rPr>
      <t>1</t>
    </r>
  </si>
  <si>
    <r>
      <t>E</t>
    </r>
    <r>
      <rPr>
        <b/>
        <i/>
        <vertAlign val="subscript"/>
        <sz val="10"/>
        <rFont val="Arial"/>
        <family val="2"/>
      </rPr>
      <t>2</t>
    </r>
  </si>
  <si>
    <r>
      <t>M</t>
    </r>
    <r>
      <rPr>
        <b/>
        <i/>
        <vertAlign val="subscript"/>
        <sz val="10"/>
        <rFont val="Arial"/>
        <family val="2"/>
      </rPr>
      <t>1</t>
    </r>
  </si>
  <si>
    <r>
      <t>M</t>
    </r>
    <r>
      <rPr>
        <b/>
        <i/>
        <vertAlign val="subscript"/>
        <sz val="10"/>
        <rFont val="Arial"/>
        <family val="2"/>
      </rPr>
      <t>2</t>
    </r>
  </si>
  <si>
    <r>
      <t>T</t>
    </r>
    <r>
      <rPr>
        <b/>
        <i/>
        <vertAlign val="subscript"/>
        <sz val="10"/>
        <rFont val="Arial"/>
        <family val="2"/>
      </rPr>
      <t>tr</t>
    </r>
  </si>
  <si>
    <t>See text for discussion.</t>
  </si>
  <si>
    <r>
      <t>V</t>
    </r>
    <r>
      <rPr>
        <b/>
        <i/>
        <vertAlign val="subscript"/>
        <sz val="10"/>
        <rFont val="Arial"/>
        <family val="2"/>
      </rPr>
      <t>inf,1</t>
    </r>
    <r>
      <rPr>
        <b/>
        <i/>
        <sz val="10"/>
        <rFont val="Arial"/>
        <family val="2"/>
      </rPr>
      <t>*</t>
    </r>
  </si>
  <si>
    <r>
      <t>Mean Distance from Sun, [r</t>
    </r>
    <r>
      <rPr>
        <b/>
        <vertAlign val="subscript"/>
        <sz val="10"/>
        <rFont val="Arial"/>
        <family val="2"/>
      </rPr>
      <t>dep</t>
    </r>
    <r>
      <rPr>
        <b/>
        <sz val="10"/>
        <rFont val="Arial"/>
        <family val="2"/>
      </rPr>
      <t>/r</t>
    </r>
    <r>
      <rPr>
        <b/>
        <vertAlign val="subscript"/>
        <sz val="10"/>
        <rFont val="Arial"/>
        <family val="2"/>
      </rPr>
      <t>tar</t>
    </r>
    <r>
      <rPr>
        <b/>
        <sz val="10"/>
        <rFont val="Arial"/>
        <family val="2"/>
      </rPr>
      <t>] (km)</t>
    </r>
  </si>
  <si>
    <t>G</t>
  </si>
  <si>
    <r>
      <t>km</t>
    </r>
    <r>
      <rPr>
        <vertAlign val="superscript"/>
        <sz val="10"/>
        <rFont val="Geneva"/>
        <family val="0"/>
      </rPr>
      <t>3</t>
    </r>
    <r>
      <rPr>
        <sz val="10"/>
        <rFont val="Geneva"/>
        <family val="0"/>
      </rPr>
      <t>/kg-s</t>
    </r>
    <r>
      <rPr>
        <vertAlign val="superscript"/>
        <sz val="10"/>
        <rFont val="Geneva"/>
        <family val="0"/>
      </rPr>
      <t>2</t>
    </r>
  </si>
  <si>
    <t>Table 10web-1. Computing the Characterisitcs of an Arbitrary Interplanetary Transfer</t>
  </si>
  <si>
    <t>Mass of 'Other' Central Body (kg)</t>
  </si>
  <si>
    <t>Input a mass in O11 if you choose the 'Other' central body</t>
  </si>
  <si>
    <t>Choose any two lines from rows 3 to 11 in columns K through N and insert them in rows 17 and 18 of columns B through E</t>
  </si>
  <si>
    <t>Version 1. August 2, 2011. copyright, 2011, Microcosm, Inc.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</si>
</sst>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E+00"/>
    <numFmt numFmtId="166" formatCode="#,##0.0000"/>
    <numFmt numFmtId="167" formatCode="0.0000E+00"/>
    <numFmt numFmtId="168" formatCode="0.000000E+00"/>
    <numFmt numFmtId="169" formatCode="0.00000000E+00"/>
    <numFmt numFmtId="170" formatCode="#,##0.0"/>
    <numFmt numFmtId="171" formatCode="0.00000E+00"/>
    <numFmt numFmtId="172" formatCode="0.0000"/>
    <numFmt numFmtId="173" formatCode="0.000"/>
    <numFmt numFmtId="174" formatCode="0.0"/>
    <numFmt numFmtId="175" formatCode="0.0E+00"/>
  </numFmts>
  <fonts count="17">
    <font>
      <sz val="10"/>
      <name val="Arial"/>
      <family val="0"/>
    </font>
    <font>
      <b/>
      <sz val="10"/>
      <name val="Arial"/>
      <family val="2"/>
    </font>
    <font>
      <b/>
      <sz val="10"/>
      <name val="Genev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Georgia"/>
      <family val="1"/>
    </font>
    <font>
      <b/>
      <sz val="9"/>
      <name val="Geneva"/>
      <family val="0"/>
    </font>
    <font>
      <b/>
      <vertAlign val="superscript"/>
      <sz val="9"/>
      <name val="Geneva"/>
      <family val="0"/>
    </font>
    <font>
      <sz val="10"/>
      <name val="Geneva"/>
      <family val="0"/>
    </font>
    <font>
      <b/>
      <vertAlign val="subscript"/>
      <sz val="10"/>
      <name val="Geneva"/>
      <family val="0"/>
    </font>
    <font>
      <vertAlign val="superscript"/>
      <sz val="10"/>
      <name val="Geneva"/>
      <family val="0"/>
    </font>
    <font>
      <b/>
      <vertAlign val="subscript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165" fontId="8" fillId="0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8" fontId="0" fillId="2" borderId="1" xfId="0" applyNumberFormat="1" applyFill="1" applyBorder="1" applyAlignment="1">
      <alignment horizontal="right"/>
    </xf>
    <xf numFmtId="170" fontId="8" fillId="2" borderId="1" xfId="0" applyNumberFormat="1" applyFont="1" applyFill="1" applyBorder="1" applyAlignment="1">
      <alignment horizontal="center" vertical="center" wrapText="1"/>
    </xf>
    <xf numFmtId="170" fontId="0" fillId="0" borderId="1" xfId="0" applyNumberFormat="1" applyBorder="1" applyAlignment="1">
      <alignment horizontal="center"/>
    </xf>
    <xf numFmtId="0" fontId="0" fillId="0" borderId="0" xfId="0" applyNumberFormat="1" applyAlignment="1">
      <alignment/>
    </xf>
    <xf numFmtId="170" fontId="0" fillId="0" borderId="0" xfId="0" applyNumberFormat="1" applyAlignment="1">
      <alignment/>
    </xf>
    <xf numFmtId="165" fontId="8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165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2" fillId="0" borderId="0" xfId="0" applyFont="1" applyAlignment="1">
      <alignment/>
    </xf>
    <xf numFmtId="168" fontId="0" fillId="0" borderId="0" xfId="0" applyNumberFormat="1" applyAlignment="1">
      <alignment/>
    </xf>
    <xf numFmtId="0" fontId="16" fillId="0" borderId="0" xfId="0" applyFont="1" applyAlignment="1">
      <alignment/>
    </xf>
    <xf numFmtId="165" fontId="8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168" fontId="0" fillId="0" borderId="0" xfId="0" applyNumberFormat="1" applyFill="1" applyBorder="1" applyAlignment="1">
      <alignment horizontal="right"/>
    </xf>
    <xf numFmtId="0" fontId="0" fillId="0" borderId="0" xfId="0" applyAlignment="1">
      <alignment wrapText="1"/>
    </xf>
    <xf numFmtId="0" fontId="13" fillId="0" borderId="1" xfId="0" applyFont="1" applyBorder="1" applyAlignment="1">
      <alignment horizontal="center"/>
    </xf>
    <xf numFmtId="173" fontId="0" fillId="0" borderId="1" xfId="0" applyNumberFormat="1" applyBorder="1" applyAlignment="1">
      <alignment/>
    </xf>
    <xf numFmtId="173" fontId="0" fillId="0" borderId="1" xfId="0" applyNumberFormat="1" applyFont="1" applyBorder="1" applyAlignment="1">
      <alignment/>
    </xf>
    <xf numFmtId="0" fontId="13" fillId="0" borderId="1" xfId="0" applyFont="1" applyFill="1" applyBorder="1" applyAlignment="1">
      <alignment horizontal="center"/>
    </xf>
    <xf numFmtId="167" fontId="0" fillId="0" borderId="1" xfId="0" applyNumberFormat="1" applyBorder="1" applyAlignment="1">
      <alignment/>
    </xf>
    <xf numFmtId="167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0" fontId="0" fillId="0" borderId="7" xfId="0" applyBorder="1" applyAlignment="1">
      <alignment/>
    </xf>
    <xf numFmtId="0" fontId="1" fillId="3" borderId="8" xfId="0" applyFont="1" applyFill="1" applyBorder="1" applyAlignment="1">
      <alignment horizontal="left"/>
    </xf>
    <xf numFmtId="0" fontId="13" fillId="0" borderId="9" xfId="0" applyFont="1" applyBorder="1" applyAlignment="1">
      <alignment horizontal="center"/>
    </xf>
    <xf numFmtId="173" fontId="0" fillId="0" borderId="9" xfId="0" applyNumberFormat="1" applyFont="1" applyBorder="1" applyAlignment="1">
      <alignment/>
    </xf>
    <xf numFmtId="0" fontId="0" fillId="0" borderId="10" xfId="0" applyBorder="1" applyAlignment="1">
      <alignment/>
    </xf>
    <xf numFmtId="0" fontId="13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6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2" borderId="9" xfId="0" applyFont="1" applyFill="1" applyBorder="1" applyAlignment="1">
      <alignment horizontal="left"/>
    </xf>
    <xf numFmtId="168" fontId="0" fillId="2" borderId="9" xfId="0" applyNumberFormat="1" applyFill="1" applyBorder="1" applyAlignment="1">
      <alignment horizontal="right"/>
    </xf>
    <xf numFmtId="165" fontId="8" fillId="2" borderId="9" xfId="0" applyNumberFormat="1" applyFont="1" applyFill="1" applyBorder="1" applyAlignment="1">
      <alignment horizontal="center" vertical="center"/>
    </xf>
    <xf numFmtId="170" fontId="8" fillId="2" borderId="9" xfId="0" applyNumberFormat="1" applyFont="1" applyFill="1" applyBorder="1" applyAlignment="1">
      <alignment horizontal="center" vertical="center" wrapText="1"/>
    </xf>
    <xf numFmtId="170" fontId="0" fillId="0" borderId="9" xfId="0" applyNumberFormat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170" fontId="8" fillId="0" borderId="7" xfId="0" applyNumberFormat="1" applyFont="1" applyBorder="1" applyAlignment="1">
      <alignment horizontal="center" vertical="center" wrapText="1"/>
    </xf>
    <xf numFmtId="0" fontId="1" fillId="5" borderId="6" xfId="0" applyFont="1" applyFill="1" applyBorder="1" applyAlignment="1">
      <alignment horizontal="left"/>
    </xf>
    <xf numFmtId="170" fontId="8" fillId="0" borderId="7" xfId="0" applyNumberFormat="1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left"/>
    </xf>
    <xf numFmtId="3" fontId="8" fillId="0" borderId="7" xfId="0" applyNumberFormat="1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16" xfId="0" applyFont="1" applyFill="1" applyBorder="1" applyAlignment="1">
      <alignment/>
    </xf>
    <xf numFmtId="168" fontId="8" fillId="0" borderId="17" xfId="0" applyNumberFormat="1" applyFont="1" applyFill="1" applyBorder="1" applyAlignment="1">
      <alignment vertical="center" wrapText="1"/>
    </xf>
    <xf numFmtId="3" fontId="0" fillId="0" borderId="17" xfId="0" applyNumberFormat="1" applyFill="1" applyBorder="1" applyAlignment="1">
      <alignment/>
    </xf>
    <xf numFmtId="165" fontId="8" fillId="0" borderId="18" xfId="0" applyNumberFormat="1" applyFont="1" applyFill="1" applyBorder="1" applyAlignment="1">
      <alignment vertical="center"/>
    </xf>
    <xf numFmtId="171" fontId="0" fillId="0" borderId="19" xfId="0" applyNumberFormat="1" applyFill="1" applyBorder="1" applyAlignment="1">
      <alignment/>
    </xf>
    <xf numFmtId="0" fontId="2" fillId="5" borderId="20" xfId="0" applyFont="1" applyFill="1" applyBorder="1" applyAlignment="1">
      <alignment vertical="center" wrapText="1"/>
    </xf>
    <xf numFmtId="0" fontId="1" fillId="5" borderId="20" xfId="0" applyFont="1" applyFill="1" applyBorder="1" applyAlignment="1">
      <alignment/>
    </xf>
    <xf numFmtId="0" fontId="2" fillId="5" borderId="21" xfId="0" applyFont="1" applyFill="1" applyBorder="1" applyAlignment="1">
      <alignment/>
    </xf>
    <xf numFmtId="3" fontId="8" fillId="0" borderId="7" xfId="0" applyNumberFormat="1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left"/>
    </xf>
    <xf numFmtId="165" fontId="8" fillId="0" borderId="9" xfId="0" applyNumberFormat="1" applyFont="1" applyFill="1" applyBorder="1" applyAlignment="1">
      <alignment horizontal="center" vertical="center" wrapText="1"/>
    </xf>
    <xf numFmtId="3" fontId="8" fillId="7" borderId="10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wrapText="1"/>
    </xf>
    <xf numFmtId="0" fontId="1" fillId="3" borderId="18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2" fillId="7" borderId="3" xfId="22" applyFont="1" applyFill="1" applyBorder="1" applyAlignment="1">
      <alignment horizontal="center" vertical="center" wrapText="1"/>
      <protection/>
    </xf>
    <xf numFmtId="0" fontId="2" fillId="7" borderId="4" xfId="22" applyFont="1" applyFill="1" applyBorder="1" applyAlignment="1">
      <alignment horizontal="center" vertical="center" wrapText="1"/>
      <protection/>
    </xf>
    <xf numFmtId="0" fontId="2" fillId="7" borderId="5" xfId="22" applyFont="1" applyFill="1" applyBorder="1" applyAlignment="1">
      <alignment horizontal="center" vertical="center" wrapText="1"/>
      <protection/>
    </xf>
    <xf numFmtId="0" fontId="0" fillId="2" borderId="6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0" fontId="0" fillId="2" borderId="7" xfId="0" applyFont="1" applyFill="1" applyBorder="1" applyAlignment="1">
      <alignment horizontal="left" wrapText="1"/>
    </xf>
    <xf numFmtId="0" fontId="0" fillId="2" borderId="8" xfId="0" applyFont="1" applyFill="1" applyBorder="1" applyAlignment="1">
      <alignment horizontal="left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0" fontId="6" fillId="5" borderId="25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wrapText="1"/>
    </xf>
    <xf numFmtId="0" fontId="1" fillId="3" borderId="6" xfId="0" applyFont="1" applyFill="1" applyBorder="1" applyAlignment="1">
      <alignment horizontal="left" wrapText="1"/>
    </xf>
    <xf numFmtId="0" fontId="2" fillId="8" borderId="28" xfId="0" applyFont="1" applyFill="1" applyBorder="1" applyAlignment="1">
      <alignment horizontal="center" wrapText="1"/>
    </xf>
    <xf numFmtId="0" fontId="2" fillId="8" borderId="29" xfId="0" applyFont="1" applyFill="1" applyBorder="1" applyAlignment="1">
      <alignment horizontal="center" wrapText="1"/>
    </xf>
    <xf numFmtId="0" fontId="2" fillId="8" borderId="30" xfId="0" applyFont="1" applyFill="1" applyBorder="1" applyAlignment="1">
      <alignment horizontal="center" wrapText="1"/>
    </xf>
    <xf numFmtId="11" fontId="0" fillId="7" borderId="31" xfId="0" applyNumberFormat="1" applyFill="1" applyBorder="1" applyAlignment="1">
      <alignment horizontal="center"/>
    </xf>
    <xf numFmtId="171" fontId="0" fillId="0" borderId="1" xfId="0" applyNumberFormat="1" applyBorder="1" applyAlignment="1">
      <alignment horizontal="right"/>
    </xf>
    <xf numFmtId="171" fontId="0" fillId="7" borderId="9" xfId="0" applyNumberForma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2" fontId="8" fillId="8" borderId="1" xfId="0" applyNumberFormat="1" applyFont="1" applyFill="1" applyBorder="1" applyAlignment="1">
      <alignment horizontal="left"/>
    </xf>
    <xf numFmtId="2" fontId="8" fillId="8" borderId="6" xfId="0" applyNumberFormat="1" applyFont="1" applyFill="1" applyBorder="1" applyAlignment="1">
      <alignment horizontal="left"/>
    </xf>
    <xf numFmtId="2" fontId="8" fillId="8" borderId="7" xfId="0" applyNumberFormat="1" applyFont="1" applyFill="1" applyBorder="1" applyAlignment="1">
      <alignment horizontal="left"/>
    </xf>
    <xf numFmtId="174" fontId="0" fillId="7" borderId="32" xfId="0" applyNumberFormat="1" applyFont="1" applyFill="1" applyBorder="1" applyAlignment="1">
      <alignment horizontal="center" vertical="center"/>
    </xf>
    <xf numFmtId="174" fontId="0" fillId="7" borderId="33" xfId="0" applyNumberFormat="1" applyFont="1" applyFill="1" applyBorder="1" applyAlignment="1">
      <alignment horizontal="center" vertical="center"/>
    </xf>
    <xf numFmtId="174" fontId="0" fillId="7" borderId="34" xfId="0" applyNumberFormat="1" applyFont="1" applyFill="1" applyBorder="1" applyAlignment="1">
      <alignment horizontal="center" vertical="center"/>
    </xf>
    <xf numFmtId="174" fontId="0" fillId="7" borderId="35" xfId="0" applyNumberFormat="1" applyFont="1" applyFill="1" applyBorder="1" applyAlignment="1">
      <alignment horizontal="center" vertical="center"/>
    </xf>
    <xf numFmtId="3" fontId="0" fillId="7" borderId="1" xfId="0" applyNumberFormat="1" applyFill="1" applyBorder="1" applyAlignment="1">
      <alignment horizontal="center"/>
    </xf>
    <xf numFmtId="3" fontId="0" fillId="7" borderId="9" xfId="0" applyNumberForma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표준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140625" style="0" customWidth="1"/>
    <col min="2" max="2" width="12.140625" style="0" customWidth="1"/>
    <col min="3" max="3" width="15.7109375" style="0" customWidth="1"/>
    <col min="4" max="4" width="12.57421875" style="0" customWidth="1"/>
    <col min="5" max="5" width="14.00390625" style="0" customWidth="1"/>
    <col min="6" max="6" width="10.140625" style="0" customWidth="1"/>
    <col min="7" max="7" width="12.28125" style="0" customWidth="1"/>
    <col min="8" max="8" width="7.421875" style="0" customWidth="1"/>
    <col min="9" max="9" width="8.140625" style="0" customWidth="1"/>
    <col min="10" max="10" width="9.57421875" style="0" customWidth="1"/>
    <col min="11" max="11" width="11.28125" style="0" customWidth="1"/>
    <col min="12" max="12" width="14.57421875" style="0" customWidth="1"/>
    <col min="13" max="14" width="11.57421875" style="0" customWidth="1"/>
    <col min="15" max="15" width="13.7109375" style="0" customWidth="1"/>
    <col min="16" max="16" width="13.421875" style="0" customWidth="1"/>
    <col min="17" max="17" width="12.8515625" style="0" customWidth="1"/>
  </cols>
  <sheetData>
    <row r="1" spans="1:18" ht="12.75" customHeight="1">
      <c r="A1" s="1" t="s">
        <v>73</v>
      </c>
      <c r="K1" s="101" t="s">
        <v>7</v>
      </c>
      <c r="L1" s="75" t="s">
        <v>21</v>
      </c>
      <c r="M1" s="77" t="s">
        <v>16</v>
      </c>
      <c r="N1" s="99" t="s">
        <v>22</v>
      </c>
      <c r="P1" s="96" t="s">
        <v>17</v>
      </c>
      <c r="Q1" s="97"/>
      <c r="R1" s="98"/>
    </row>
    <row r="2" spans="1:18" ht="12.75" customHeight="1">
      <c r="A2" t="s">
        <v>38</v>
      </c>
      <c r="K2" s="102"/>
      <c r="L2" s="76"/>
      <c r="M2" s="78"/>
      <c r="N2" s="100"/>
      <c r="P2" s="68" t="s">
        <v>18</v>
      </c>
      <c r="Q2" s="64">
        <v>132712441000</v>
      </c>
      <c r="R2" s="60" t="s">
        <v>19</v>
      </c>
    </row>
    <row r="3" spans="1:18" ht="12.75">
      <c r="A3" t="s">
        <v>77</v>
      </c>
      <c r="K3" s="54" t="s">
        <v>9</v>
      </c>
      <c r="L3" s="107">
        <v>57909175.678248346</v>
      </c>
      <c r="M3" s="2">
        <v>22032.1</v>
      </c>
      <c r="N3" s="55">
        <v>2439.7</v>
      </c>
      <c r="P3" s="69" t="s">
        <v>27</v>
      </c>
      <c r="Q3" s="65">
        <v>31558150</v>
      </c>
      <c r="R3" s="61" t="s">
        <v>28</v>
      </c>
    </row>
    <row r="4" spans="1:18" ht="12.75">
      <c r="A4" s="16" t="s">
        <v>68</v>
      </c>
      <c r="K4" s="54" t="s">
        <v>10</v>
      </c>
      <c r="L4" s="107">
        <v>108207429.53448668</v>
      </c>
      <c r="M4" s="2">
        <v>324858.5917</v>
      </c>
      <c r="N4" s="55">
        <v>6051.8</v>
      </c>
      <c r="P4" s="69" t="s">
        <v>36</v>
      </c>
      <c r="Q4" s="66">
        <f>180/PI()</f>
        <v>57.29577951308232</v>
      </c>
      <c r="R4" s="62" t="s">
        <v>31</v>
      </c>
    </row>
    <row r="5" spans="11:18" ht="15" thickBot="1">
      <c r="K5" s="56" t="s">
        <v>5</v>
      </c>
      <c r="L5" s="107">
        <v>149597887.15576577</v>
      </c>
      <c r="M5" s="2">
        <v>398600.4356</v>
      </c>
      <c r="N5" s="57">
        <v>6378.1366</v>
      </c>
      <c r="P5" s="70" t="s">
        <v>71</v>
      </c>
      <c r="Q5" s="67">
        <v>6.67428E-20</v>
      </c>
      <c r="R5" s="63" t="s">
        <v>72</v>
      </c>
    </row>
    <row r="6" spans="1:14" ht="12.75" customHeight="1">
      <c r="A6" s="87" t="s">
        <v>0</v>
      </c>
      <c r="B6" s="88"/>
      <c r="C6" s="88"/>
      <c r="D6" s="89"/>
      <c r="K6" s="58" t="s">
        <v>6</v>
      </c>
      <c r="L6" s="107">
        <v>227936637.24184328</v>
      </c>
      <c r="M6" s="9">
        <v>42828.37522</v>
      </c>
      <c r="N6" s="55">
        <v>3396.2</v>
      </c>
    </row>
    <row r="7" spans="1:14" ht="12.75" customHeight="1" thickBot="1">
      <c r="A7" s="111" t="s">
        <v>75</v>
      </c>
      <c r="B7" s="110"/>
      <c r="C7" s="110"/>
      <c r="D7" s="112"/>
      <c r="K7" s="58" t="s">
        <v>11</v>
      </c>
      <c r="L7" s="107">
        <v>778412026.7751428</v>
      </c>
      <c r="M7" s="9">
        <v>126712762.6</v>
      </c>
      <c r="N7" s="59">
        <v>71492</v>
      </c>
    </row>
    <row r="8" spans="1:15" ht="12.75" customHeight="1">
      <c r="A8" s="90" t="s">
        <v>76</v>
      </c>
      <c r="B8" s="91"/>
      <c r="C8" s="91"/>
      <c r="D8" s="92"/>
      <c r="K8" s="58" t="s">
        <v>12</v>
      </c>
      <c r="L8" s="107">
        <v>1426725412.5881674</v>
      </c>
      <c r="M8" s="9">
        <v>37940584.9</v>
      </c>
      <c r="N8" s="59">
        <v>60268</v>
      </c>
      <c r="O8" s="103" t="s">
        <v>74</v>
      </c>
    </row>
    <row r="9" spans="1:15" ht="12.75" customHeight="1" thickBot="1">
      <c r="A9" s="93"/>
      <c r="B9" s="94"/>
      <c r="C9" s="94"/>
      <c r="D9" s="95"/>
      <c r="K9" s="58" t="s">
        <v>13</v>
      </c>
      <c r="L9" s="107">
        <v>2870972219.9697137</v>
      </c>
      <c r="M9" s="9">
        <v>5794549</v>
      </c>
      <c r="N9" s="59">
        <v>25559</v>
      </c>
      <c r="O9" s="104"/>
    </row>
    <row r="10" spans="1:15" ht="12.75" customHeight="1" thickBot="1">
      <c r="A10" s="109"/>
      <c r="B10" s="109"/>
      <c r="C10" s="109"/>
      <c r="D10" s="109"/>
      <c r="E10" s="14"/>
      <c r="K10" s="58" t="s">
        <v>14</v>
      </c>
      <c r="L10" s="107">
        <v>4498252910.764062</v>
      </c>
      <c r="M10" s="9">
        <v>6836527</v>
      </c>
      <c r="N10" s="71">
        <v>24764</v>
      </c>
      <c r="O10" s="105"/>
    </row>
    <row r="11" spans="1:15" ht="15" thickBot="1">
      <c r="A11" s="85"/>
      <c r="B11" s="83" t="s">
        <v>7</v>
      </c>
      <c r="C11" s="75" t="s">
        <v>70</v>
      </c>
      <c r="D11" s="77" t="s">
        <v>16</v>
      </c>
      <c r="E11" s="79" t="s">
        <v>22</v>
      </c>
      <c r="F11" s="75" t="s">
        <v>15</v>
      </c>
      <c r="G11" s="81" t="s">
        <v>26</v>
      </c>
      <c r="H11" s="44" t="s">
        <v>69</v>
      </c>
      <c r="I11" s="45" t="s">
        <v>34</v>
      </c>
      <c r="K11" s="72" t="s">
        <v>8</v>
      </c>
      <c r="L11" s="108">
        <v>149597887.15576577</v>
      </c>
      <c r="M11" s="73">
        <f>Q5*O11</f>
        <v>66742.8</v>
      </c>
      <c r="N11" s="74">
        <v>5000</v>
      </c>
      <c r="O11" s="106">
        <f>10^24</f>
        <v>1E+24</v>
      </c>
    </row>
    <row r="12" spans="1:11" ht="12.75">
      <c r="A12" s="86"/>
      <c r="B12" s="84"/>
      <c r="C12" s="76"/>
      <c r="D12" s="78"/>
      <c r="E12" s="80"/>
      <c r="F12" s="76"/>
      <c r="G12" s="82"/>
      <c r="H12" s="11" t="s">
        <v>33</v>
      </c>
      <c r="I12" s="46" t="s">
        <v>35</v>
      </c>
      <c r="K12" s="14"/>
    </row>
    <row r="13" spans="1:10" ht="12.75">
      <c r="A13" s="47" t="s">
        <v>3</v>
      </c>
      <c r="B13" s="10" t="s">
        <v>5</v>
      </c>
      <c r="C13" s="4">
        <v>149597887.15576577</v>
      </c>
      <c r="D13" s="3">
        <v>398600.4356</v>
      </c>
      <c r="E13" s="5">
        <v>6378.1366</v>
      </c>
      <c r="F13" s="117">
        <v>185</v>
      </c>
      <c r="G13" s="6">
        <f>E13+F13</f>
        <v>6563.1366</v>
      </c>
      <c r="H13" s="113">
        <v>13</v>
      </c>
      <c r="I13" s="114">
        <v>26</v>
      </c>
      <c r="J13" s="13"/>
    </row>
    <row r="14" spans="1:10" ht="13.5" customHeight="1" thickBot="1">
      <c r="A14" s="48" t="s">
        <v>4</v>
      </c>
      <c r="B14" s="49" t="s">
        <v>6</v>
      </c>
      <c r="C14" s="50">
        <v>227936637.24184328</v>
      </c>
      <c r="D14" s="51">
        <v>42828.37522</v>
      </c>
      <c r="E14" s="52">
        <v>3396.2</v>
      </c>
      <c r="F14" s="118">
        <v>500</v>
      </c>
      <c r="G14" s="53">
        <f>E14+F14</f>
        <v>3896.2</v>
      </c>
      <c r="H14" s="115"/>
      <c r="I14" s="116"/>
      <c r="J14" s="13"/>
    </row>
    <row r="15" spans="1:10" ht="12.75">
      <c r="A15" s="18">
        <f>IF(AND(C30&lt;(SUM(C13:C14)),C30&gt;0),"*Increase Vinf,1 such that ra is greater than the sum of rdep and rtar",IF(C30&lt;0,"*You must choose a smaller value for Vinf,1 and/or a larger value of α",""))</f>
      </c>
      <c r="J15" s="15"/>
    </row>
    <row r="16" spans="8:10" ht="13.5" thickBot="1">
      <c r="H16" s="18"/>
      <c r="J16" s="15"/>
    </row>
    <row r="17" spans="1:10" ht="12.75">
      <c r="A17" s="34" t="s">
        <v>1</v>
      </c>
      <c r="B17" s="35" t="s">
        <v>2</v>
      </c>
      <c r="C17" s="36" t="s">
        <v>20</v>
      </c>
      <c r="D17" s="37" t="s">
        <v>23</v>
      </c>
      <c r="J17" s="15"/>
    </row>
    <row r="18" spans="1:6" ht="14.25">
      <c r="A18" s="38">
        <v>1</v>
      </c>
      <c r="B18" s="24" t="s">
        <v>39</v>
      </c>
      <c r="C18" s="25">
        <f>SQRT(Q2/C13)</f>
        <v>29.784690303734155</v>
      </c>
      <c r="D18" s="39" t="s">
        <v>24</v>
      </c>
      <c r="F18" s="8"/>
    </row>
    <row r="19" spans="1:4" ht="14.25">
      <c r="A19" s="38">
        <v>2</v>
      </c>
      <c r="B19" s="24" t="s">
        <v>40</v>
      </c>
      <c r="C19" s="25">
        <f>SQRT(Q2/C14)</f>
        <v>24.129523750656546</v>
      </c>
      <c r="D19" s="39" t="s">
        <v>24</v>
      </c>
    </row>
    <row r="20" spans="1:14" ht="14.25">
      <c r="A20" s="38">
        <v>3</v>
      </c>
      <c r="B20" s="24" t="s">
        <v>41</v>
      </c>
      <c r="C20" s="25">
        <f>SQRT(D13/G13)</f>
        <v>7.793152284317202</v>
      </c>
      <c r="D20" s="39" t="s">
        <v>24</v>
      </c>
      <c r="H20" s="23"/>
      <c r="I20" s="23"/>
      <c r="K20" s="23"/>
      <c r="L20" s="23"/>
      <c r="M20" s="23"/>
      <c r="N20" s="23"/>
    </row>
    <row r="21" spans="1:14" ht="14.25">
      <c r="A21" s="38">
        <v>4</v>
      </c>
      <c r="B21" s="24" t="s">
        <v>42</v>
      </c>
      <c r="C21" s="26">
        <f>SQRT(D14/G14)</f>
        <v>3.315470579262116</v>
      </c>
      <c r="D21" s="39" t="s">
        <v>24</v>
      </c>
      <c r="F21" s="7"/>
      <c r="H21" s="23"/>
      <c r="I21" s="23"/>
      <c r="K21" s="23"/>
      <c r="L21" s="23"/>
      <c r="M21" s="23"/>
      <c r="N21" s="23"/>
    </row>
    <row r="22" spans="1:10" ht="14.25">
      <c r="A22" s="38">
        <v>5</v>
      </c>
      <c r="B22" s="24" t="s">
        <v>43</v>
      </c>
      <c r="C22" s="25">
        <f>H13*SIN(I13/Q4)</f>
        <v>5.698824908258006</v>
      </c>
      <c r="D22" s="39" t="s">
        <v>24</v>
      </c>
      <c r="J22" s="23"/>
    </row>
    <row r="23" spans="1:10" ht="14.25">
      <c r="A23" s="38">
        <v>6</v>
      </c>
      <c r="B23" s="24" t="s">
        <v>44</v>
      </c>
      <c r="C23" s="25">
        <f>C18+H13*COS(I13/Q4)</f>
        <v>41.46901290562333</v>
      </c>
      <c r="D23" s="39" t="s">
        <v>24</v>
      </c>
      <c r="J23" s="23"/>
    </row>
    <row r="24" spans="1:6" ht="14.25">
      <c r="A24" s="38">
        <v>7</v>
      </c>
      <c r="B24" s="24" t="s">
        <v>45</v>
      </c>
      <c r="C24" s="26">
        <f>SQRT(C22^2+C23^2)</f>
        <v>41.85875818394206</v>
      </c>
      <c r="D24" s="39" t="s">
        <v>24</v>
      </c>
      <c r="F24" s="12"/>
    </row>
    <row r="25" spans="1:4" ht="14.25">
      <c r="A25" s="38">
        <v>8</v>
      </c>
      <c r="B25" s="27" t="s">
        <v>29</v>
      </c>
      <c r="C25" s="28">
        <f>C13*C23</f>
        <v>6203676713.116433</v>
      </c>
      <c r="D25" s="39" t="s">
        <v>37</v>
      </c>
    </row>
    <row r="26" spans="1:4" ht="14.25">
      <c r="A26" s="38">
        <v>9</v>
      </c>
      <c r="B26" s="27" t="s">
        <v>46</v>
      </c>
      <c r="C26" s="25">
        <f>Q4*ATAN(C22/C23)</f>
        <v>7.824785535639537</v>
      </c>
      <c r="D26" s="39" t="s">
        <v>31</v>
      </c>
    </row>
    <row r="27" spans="1:4" ht="14.25">
      <c r="A27" s="38">
        <v>10</v>
      </c>
      <c r="B27" s="24" t="s">
        <v>47</v>
      </c>
      <c r="C27" s="29">
        <f>Q2/(Q2/C13-C24^2/2)/2</f>
        <v>6005110577.648187</v>
      </c>
      <c r="D27" s="39" t="s">
        <v>24</v>
      </c>
    </row>
    <row r="28" spans="1:4" ht="14.25">
      <c r="A28" s="38">
        <v>11</v>
      </c>
      <c r="B28" s="24" t="s">
        <v>48</v>
      </c>
      <c r="C28" s="30">
        <f>SQRT(1+2*(C25/Q2)^2*(C24^2/2-Q2/C13))</f>
        <v>0.9755557692303073</v>
      </c>
      <c r="D28" s="39" t="s">
        <v>24</v>
      </c>
    </row>
    <row r="29" spans="1:5" ht="14.25">
      <c r="A29" s="38">
        <v>12</v>
      </c>
      <c r="B29" s="24" t="s">
        <v>49</v>
      </c>
      <c r="C29" s="31">
        <f>C27*(1-C28)</f>
        <v>146790308.75755498</v>
      </c>
      <c r="D29" s="39" t="s">
        <v>30</v>
      </c>
      <c r="E29" s="17"/>
    </row>
    <row r="30" spans="1:6" ht="14.25">
      <c r="A30" s="38">
        <v>13</v>
      </c>
      <c r="B30" s="24" t="s">
        <v>50</v>
      </c>
      <c r="C30" s="32">
        <f>C27*(1+C28)</f>
        <v>11863430846.538818</v>
      </c>
      <c r="D30" s="39" t="s">
        <v>30</v>
      </c>
      <c r="E30" s="17"/>
      <c r="F30" s="12"/>
    </row>
    <row r="31" spans="1:14" ht="14.25">
      <c r="A31" s="38">
        <v>14</v>
      </c>
      <c r="B31" s="24" t="s">
        <v>51</v>
      </c>
      <c r="C31" s="26">
        <f>SQRT(Q2*(2/C14-1/C27))</f>
        <v>33.798933660546474</v>
      </c>
      <c r="D31" s="39" t="s">
        <v>24</v>
      </c>
      <c r="K31" s="14"/>
      <c r="L31" s="14"/>
      <c r="M31" s="14"/>
      <c r="N31" s="14"/>
    </row>
    <row r="32" spans="1:14" ht="14.25">
      <c r="A32" s="38">
        <v>15</v>
      </c>
      <c r="B32" s="24" t="s">
        <v>52</v>
      </c>
      <c r="C32" s="26">
        <f>C25/C14</f>
        <v>27.21667209003467</v>
      </c>
      <c r="D32" s="39" t="s">
        <v>24</v>
      </c>
      <c r="K32" s="21"/>
      <c r="L32" s="22"/>
      <c r="M32" s="19"/>
      <c r="N32" s="20"/>
    </row>
    <row r="33" spans="1:15" ht="14.25">
      <c r="A33" s="38">
        <v>16</v>
      </c>
      <c r="B33" s="24" t="s">
        <v>53</v>
      </c>
      <c r="C33" s="26">
        <f>SQRT(C31^2-C32^2)</f>
        <v>20.04047596574366</v>
      </c>
      <c r="D33" s="39" t="s">
        <v>24</v>
      </c>
      <c r="J33" s="14"/>
      <c r="K33" s="14"/>
      <c r="L33" s="14"/>
      <c r="M33" s="14"/>
      <c r="N33" s="14"/>
      <c r="O33" s="14"/>
    </row>
    <row r="34" spans="1:15" ht="14.25">
      <c r="A34" s="38">
        <v>17</v>
      </c>
      <c r="B34" s="24" t="s">
        <v>54</v>
      </c>
      <c r="C34" s="26">
        <f>SQRT(C33^2+(C32-C19)^2)</f>
        <v>20.276862720916036</v>
      </c>
      <c r="D34" s="39" t="s">
        <v>24</v>
      </c>
      <c r="J34" s="14"/>
      <c r="O34" s="14"/>
    </row>
    <row r="35" spans="1:15" ht="14.25">
      <c r="A35" s="38">
        <v>18</v>
      </c>
      <c r="B35" s="27" t="s">
        <v>55</v>
      </c>
      <c r="C35" s="25">
        <f>Q4*ATAN(C33/C32)</f>
        <v>36.365363016793275</v>
      </c>
      <c r="D35" s="39" t="s">
        <v>31</v>
      </c>
      <c r="J35" s="14"/>
      <c r="O35" s="14"/>
    </row>
    <row r="36" spans="1:4" ht="14.25">
      <c r="A36" s="38">
        <v>19</v>
      </c>
      <c r="B36" s="24" t="s">
        <v>56</v>
      </c>
      <c r="C36" s="26">
        <f>SQRT(2*D13/G13+H13^2)</f>
        <v>17.04307616168856</v>
      </c>
      <c r="D36" s="39" t="s">
        <v>24</v>
      </c>
    </row>
    <row r="37" spans="1:4" ht="14.25">
      <c r="A37" s="38">
        <v>20</v>
      </c>
      <c r="B37" s="24" t="s">
        <v>57</v>
      </c>
      <c r="C37" s="26">
        <f>SQRT(2*D14/G14+C34^2)</f>
        <v>20.811916108969395</v>
      </c>
      <c r="D37" s="39" t="s">
        <v>24</v>
      </c>
    </row>
    <row r="38" spans="1:4" ht="14.25">
      <c r="A38" s="38">
        <v>21</v>
      </c>
      <c r="B38" s="33" t="s">
        <v>58</v>
      </c>
      <c r="C38" s="26">
        <f>ABS(C36-C20)</f>
        <v>9.249923877371359</v>
      </c>
      <c r="D38" s="39" t="s">
        <v>24</v>
      </c>
    </row>
    <row r="39" spans="1:4" ht="14.25">
      <c r="A39" s="38">
        <v>22</v>
      </c>
      <c r="B39" s="24" t="s">
        <v>59</v>
      </c>
      <c r="C39" s="26">
        <f>ABS(C37-C21)</f>
        <v>17.49644552970728</v>
      </c>
      <c r="D39" s="39" t="s">
        <v>24</v>
      </c>
    </row>
    <row r="40" spans="1:4" ht="14.25">
      <c r="A40" s="38">
        <v>23</v>
      </c>
      <c r="B40" s="24" t="s">
        <v>60</v>
      </c>
      <c r="C40" s="26">
        <f>C38+C39</f>
        <v>26.74636940707864</v>
      </c>
      <c r="D40" s="39" t="s">
        <v>24</v>
      </c>
    </row>
    <row r="41" spans="1:4" ht="14.25">
      <c r="A41" s="38">
        <v>24</v>
      </c>
      <c r="B41" s="24" t="s">
        <v>61</v>
      </c>
      <c r="C41" s="25">
        <f>Q4*ATAN2((C23*C25/Q2-1)/C28,C22*C25/Q2/C28)</f>
        <v>15.84690972998589</v>
      </c>
      <c r="D41" s="39" t="s">
        <v>31</v>
      </c>
    </row>
    <row r="42" spans="1:4" ht="14.25">
      <c r="A42" s="38">
        <v>25</v>
      </c>
      <c r="B42" s="24" t="s">
        <v>62</v>
      </c>
      <c r="C42" s="25">
        <f>Q4*ATAN2((C32*C25/Q2-1)/C28,C33*C25/Q2/C28)</f>
        <v>73.79517708946098</v>
      </c>
      <c r="D42" s="39" t="s">
        <v>31</v>
      </c>
    </row>
    <row r="43" spans="1:4" ht="14.25">
      <c r="A43" s="38">
        <v>26</v>
      </c>
      <c r="B43" s="24" t="s">
        <v>63</v>
      </c>
      <c r="C43" s="25">
        <f>2*ATAN(SQRT((1-$C$28)/(1+$C$28))*TAN(C41/$Q$4/2))</f>
        <v>0.03096076868972396</v>
      </c>
      <c r="D43" s="39" t="s">
        <v>32</v>
      </c>
    </row>
    <row r="44" spans="1:6" ht="14.25">
      <c r="A44" s="38">
        <v>27</v>
      </c>
      <c r="B44" s="24" t="s">
        <v>64</v>
      </c>
      <c r="C44" s="26">
        <f>2*ATAN(SQRT((1-$C$28)/(1+$C$28))*TAN(C42/$Q$4/2))</f>
        <v>0.16663470583129855</v>
      </c>
      <c r="D44" s="39" t="s">
        <v>32</v>
      </c>
      <c r="F44" s="12"/>
    </row>
    <row r="45" spans="1:4" ht="14.25">
      <c r="A45" s="38">
        <v>28</v>
      </c>
      <c r="B45" s="24" t="s">
        <v>65</v>
      </c>
      <c r="C45" s="26">
        <f>C43-$C$28*SIN(C43)</f>
        <v>0.0007616373737833228</v>
      </c>
      <c r="D45" s="39" t="s">
        <v>32</v>
      </c>
    </row>
    <row r="46" spans="1:4" ht="14.25">
      <c r="A46" s="38">
        <v>29</v>
      </c>
      <c r="B46" s="24" t="s">
        <v>66</v>
      </c>
      <c r="C46" s="26">
        <f>C44-$C$28*SIN(C44)</f>
        <v>0.004824524101045252</v>
      </c>
      <c r="D46" s="39" t="s">
        <v>32</v>
      </c>
    </row>
    <row r="47" spans="1:4" ht="15" thickBot="1">
      <c r="A47" s="40">
        <v>30</v>
      </c>
      <c r="B47" s="41" t="s">
        <v>67</v>
      </c>
      <c r="C47" s="42">
        <f>(C46-C45)/SQRT(Q2/C27^3)/Q3</f>
        <v>0.16445567817386844</v>
      </c>
      <c r="D47" s="43" t="s">
        <v>25</v>
      </c>
    </row>
  </sheetData>
  <mergeCells count="18">
    <mergeCell ref="O8:O10"/>
    <mergeCell ref="A8:D9"/>
    <mergeCell ref="P1:R1"/>
    <mergeCell ref="N1:N2"/>
    <mergeCell ref="K1:K2"/>
    <mergeCell ref="L1:L2"/>
    <mergeCell ref="M1:M2"/>
    <mergeCell ref="B11:B12"/>
    <mergeCell ref="C11:C12"/>
    <mergeCell ref="A11:A12"/>
    <mergeCell ref="A6:D6"/>
    <mergeCell ref="A7:D7"/>
    <mergeCell ref="H13:H14"/>
    <mergeCell ref="I13:I14"/>
    <mergeCell ref="F11:F12"/>
    <mergeCell ref="D11:D12"/>
    <mergeCell ref="E11:E12"/>
    <mergeCell ref="G11:G12"/>
  </mergeCells>
  <printOptions/>
  <pageMargins left="0.5" right="0.5" top="0.5" bottom="0.5" header="0" footer="0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Microcosm,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AShao</dc:creator>
  <cp:keywords/>
  <dc:description/>
  <cp:lastModifiedBy>AShao</cp:lastModifiedBy>
  <cp:lastPrinted>2011-08-03T01:03:31Z</cp:lastPrinted>
  <dcterms:created xsi:type="dcterms:W3CDTF">2011-07-13T04:41:22Z</dcterms:created>
  <dcterms:modified xsi:type="dcterms:W3CDTF">2011-08-03T01:06:22Z</dcterms:modified>
  <cp:category/>
  <cp:version/>
  <cp:contentType/>
  <cp:contentStatus/>
</cp:coreProperties>
</file>